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1105"/>
  <workbookPr showInkAnnotation="0" autoCompressPictures="0"/>
  <bookViews>
    <workbookView xWindow="0" yWindow="0" windowWidth="25600" windowHeight="16060"/>
  </bookViews>
  <sheets>
    <sheet name="Budget vs. Actuals  2010-2011 B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8" i="1" l="1"/>
  <c r="C8" i="1"/>
  <c r="D8" i="1"/>
  <c r="E8" i="1"/>
  <c r="C9" i="1"/>
  <c r="D9" i="1"/>
  <c r="E9" i="1"/>
  <c r="C10" i="1"/>
  <c r="D10" i="1"/>
  <c r="E10" i="1"/>
  <c r="B11" i="1"/>
  <c r="D11" i="1"/>
  <c r="E11" i="1"/>
  <c r="B12" i="1"/>
  <c r="C12" i="1"/>
  <c r="D12" i="1"/>
  <c r="E12" i="1"/>
  <c r="B13" i="1"/>
  <c r="C13" i="1"/>
  <c r="D13" i="1"/>
  <c r="E13" i="1"/>
  <c r="B15" i="1"/>
  <c r="C15" i="1"/>
  <c r="D15" i="1"/>
  <c r="E15" i="1"/>
  <c r="B16" i="1"/>
  <c r="C16" i="1"/>
  <c r="D16" i="1"/>
  <c r="E16" i="1"/>
  <c r="B17" i="1"/>
  <c r="C17" i="1"/>
  <c r="D17" i="1"/>
  <c r="E17" i="1"/>
  <c r="B18" i="1"/>
  <c r="C18" i="1"/>
  <c r="D18" i="1"/>
  <c r="E18" i="1"/>
  <c r="B19" i="1"/>
  <c r="C19" i="1"/>
  <c r="D19" i="1"/>
  <c r="E19" i="1"/>
  <c r="B20" i="1"/>
  <c r="C20" i="1"/>
  <c r="D20" i="1"/>
  <c r="E20" i="1"/>
  <c r="B21" i="1"/>
  <c r="C21" i="1"/>
  <c r="D21" i="1"/>
  <c r="E21" i="1"/>
  <c r="B22" i="1"/>
  <c r="D22" i="1"/>
  <c r="E22" i="1"/>
  <c r="B23" i="1"/>
  <c r="C23" i="1"/>
  <c r="D23" i="1"/>
  <c r="E23" i="1"/>
  <c r="B24" i="1"/>
  <c r="C24" i="1"/>
  <c r="D24" i="1"/>
  <c r="E24" i="1"/>
  <c r="B25" i="1"/>
  <c r="C25" i="1"/>
  <c r="D25" i="1"/>
  <c r="E25" i="1"/>
  <c r="B26" i="1"/>
  <c r="C26" i="1"/>
  <c r="D26" i="1"/>
  <c r="E26" i="1"/>
  <c r="B27" i="1"/>
  <c r="C27" i="1"/>
  <c r="D27" i="1"/>
  <c r="E27" i="1"/>
  <c r="B28" i="1"/>
  <c r="C28" i="1"/>
  <c r="D28" i="1"/>
  <c r="E28" i="1"/>
  <c r="B29" i="1"/>
  <c r="C29" i="1"/>
  <c r="D29" i="1"/>
  <c r="E29" i="1"/>
  <c r="B30" i="1"/>
  <c r="C30" i="1"/>
  <c r="D30" i="1"/>
  <c r="E30" i="1"/>
  <c r="B31" i="1"/>
  <c r="C31" i="1"/>
  <c r="D31" i="1"/>
  <c r="E31" i="1"/>
  <c r="B32" i="1"/>
  <c r="C32" i="1"/>
  <c r="D32" i="1"/>
  <c r="E32" i="1"/>
  <c r="B33" i="1"/>
  <c r="C33" i="1"/>
  <c r="D33" i="1"/>
  <c r="E33" i="1"/>
  <c r="B34" i="1"/>
  <c r="C34" i="1"/>
  <c r="D34" i="1"/>
  <c r="E34" i="1"/>
  <c r="B35" i="1"/>
  <c r="D35" i="1"/>
  <c r="E35" i="1"/>
  <c r="B36" i="1"/>
  <c r="C36" i="1"/>
  <c r="D36" i="1"/>
  <c r="E36" i="1"/>
  <c r="C37" i="1"/>
  <c r="D37" i="1"/>
  <c r="E37" i="1"/>
  <c r="B38" i="1"/>
  <c r="C38" i="1"/>
  <c r="D38" i="1"/>
  <c r="E38" i="1"/>
  <c r="B39" i="1"/>
  <c r="C39" i="1"/>
  <c r="D39" i="1"/>
  <c r="E39" i="1"/>
  <c r="B40" i="1"/>
  <c r="C40" i="1"/>
  <c r="D40" i="1"/>
  <c r="E40" i="1"/>
  <c r="B41" i="1"/>
  <c r="D41" i="1"/>
  <c r="E41" i="1"/>
  <c r="B42" i="1"/>
  <c r="D42" i="1"/>
  <c r="E42" i="1"/>
  <c r="B43" i="1"/>
  <c r="D43" i="1"/>
  <c r="E43" i="1"/>
  <c r="B44" i="1"/>
  <c r="D44" i="1"/>
  <c r="E44" i="1"/>
  <c r="B45" i="1"/>
  <c r="D45" i="1"/>
  <c r="E45" i="1"/>
  <c r="B46" i="1"/>
  <c r="C46" i="1"/>
  <c r="D46" i="1"/>
  <c r="E46" i="1"/>
  <c r="B47" i="1"/>
  <c r="C47" i="1"/>
  <c r="D47" i="1"/>
  <c r="E47" i="1"/>
  <c r="B49" i="1"/>
  <c r="D49" i="1"/>
  <c r="E49" i="1"/>
  <c r="B50" i="1"/>
  <c r="D50" i="1"/>
  <c r="E50" i="1"/>
  <c r="B51" i="1"/>
  <c r="C51" i="1"/>
  <c r="D51" i="1"/>
  <c r="E51" i="1"/>
  <c r="B52" i="1"/>
  <c r="C52" i="1"/>
  <c r="D52" i="1"/>
  <c r="E52" i="1"/>
  <c r="B53" i="1"/>
  <c r="C53" i="1"/>
  <c r="D53" i="1"/>
  <c r="E53" i="1"/>
</calcChain>
</file>

<file path=xl/sharedStrings.xml><?xml version="1.0" encoding="utf-8"?>
<sst xmlns="http://schemas.openxmlformats.org/spreadsheetml/2006/main" count="58" uniqueCount="58">
  <si>
    <t>Total</t>
  </si>
  <si>
    <t>Actual</t>
  </si>
  <si>
    <t>Budget</t>
  </si>
  <si>
    <t>$ Over Budget</t>
  </si>
  <si>
    <t>% of Budget</t>
  </si>
  <si>
    <t>Income</t>
  </si>
  <si>
    <t xml:space="preserve">   4010 State Bar Revenue</t>
  </si>
  <si>
    <t xml:space="preserve">   4015 State Bar Revenue-IOLTA</t>
  </si>
  <si>
    <t>-92266.00</t>
  </si>
  <si>
    <t xml:space="preserve">   4016 State Bar Revenue-EAF</t>
  </si>
  <si>
    <t>-118640.00</t>
  </si>
  <si>
    <t xml:space="preserve">   4101 Interest Revenue</t>
  </si>
  <si>
    <t xml:space="preserve">   4200 Attorney Fees Income</t>
  </si>
  <si>
    <t>Total Income</t>
  </si>
  <si>
    <t>Expenses</t>
  </si>
  <si>
    <t xml:space="preserve">   5010 Salaries - Lawyer</t>
  </si>
  <si>
    <t xml:space="preserve">   5012 Salaries - Paralegal</t>
  </si>
  <si>
    <t xml:space="preserve">   5013 Salaries</t>
  </si>
  <si>
    <t xml:space="preserve">   5301 Payroll Taxes</t>
  </si>
  <si>
    <t xml:space="preserve">   5500 Contract Services</t>
  </si>
  <si>
    <t xml:space="preserve">      5501 Consulting Exp</t>
  </si>
  <si>
    <t xml:space="preserve">   Total 5500 Contract Services</t>
  </si>
  <si>
    <t xml:space="preserve">   5601 Seminars &amp; Training</t>
  </si>
  <si>
    <t xml:space="preserve">   5720 Travel</t>
  </si>
  <si>
    <t xml:space="preserve">   5810 Rent</t>
  </si>
  <si>
    <t xml:space="preserve">   5820 Utilities</t>
  </si>
  <si>
    <t xml:space="preserve">   5840 Insurance-General</t>
  </si>
  <si>
    <t xml:space="preserve">   5860 Insurance-Malpractice</t>
  </si>
  <si>
    <t xml:space="preserve">   5870 Insurance - Workers' comp</t>
  </si>
  <si>
    <t xml:space="preserve">   5890 Employee benefits</t>
  </si>
  <si>
    <t xml:space="preserve">   6010 Office expense</t>
  </si>
  <si>
    <t xml:space="preserve">   6015 Office supply</t>
  </si>
  <si>
    <t xml:space="preserve">   6020 Bank Service Charges</t>
  </si>
  <si>
    <t xml:space="preserve">   6030 Postage</t>
  </si>
  <si>
    <t xml:space="preserve">   6050 Legal &amp; Accounting</t>
  </si>
  <si>
    <t xml:space="preserve">   6060 Security Exp</t>
  </si>
  <si>
    <t xml:space="preserve">   6101 Telephone</t>
  </si>
  <si>
    <t xml:space="preserve">   6200 Litigation</t>
  </si>
  <si>
    <t xml:space="preserve">   6301 Equipment Rental</t>
  </si>
  <si>
    <t xml:space="preserve">   6350 Repairs &amp; Maintenance</t>
  </si>
  <si>
    <t xml:space="preserve">   6401 Law library Exp</t>
  </si>
  <si>
    <t xml:space="preserve">   6500 Depreciation</t>
  </si>
  <si>
    <t xml:space="preserve">   6850 Dues &amp; Subscriptions</t>
  </si>
  <si>
    <t xml:space="preserve">   6860 Meals &amp; Entertainment</t>
  </si>
  <si>
    <t xml:space="preserve">   6902 Interest Exp</t>
  </si>
  <si>
    <t xml:space="preserve">   6903 Tax, License &amp; Fees</t>
  </si>
  <si>
    <t>Total Expenses</t>
  </si>
  <si>
    <t>Net Operating Income</t>
  </si>
  <si>
    <t>Other Expenses</t>
  </si>
  <si>
    <t xml:space="preserve">   Credit Card</t>
  </si>
  <si>
    <t xml:space="preserve">   REFUND</t>
  </si>
  <si>
    <t>Total Other Expenses</t>
  </si>
  <si>
    <t>Net Other Income</t>
  </si>
  <si>
    <t>Net Income</t>
  </si>
  <si>
    <t>Thursday, Aug 18, 2011 09:43:20 AM PDT GMT-7 - Accrual Basis</t>
  </si>
  <si>
    <t>CCWRO</t>
  </si>
  <si>
    <t>Budget vs. Actuals: 2010-2011 Budget - FY11 P&amp;L  Classes</t>
  </si>
  <si>
    <t>July 2010 - June 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</si>
</sst>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* #,##0.00"/>
  </numFmts>
  <fonts count="6" x14ac:knownFonts="1">
    <font>
      <sz val="10"/>
      <name val="Arial"/>
    </font>
    <font>
      <b/>
      <sz val="9"/>
      <name val="Arial"/>
    </font>
    <font>
      <b/>
      <sz val="8"/>
      <name val="Arial"/>
    </font>
    <font>
      <sz val="8"/>
      <name val="Arial"/>
    </font>
    <font>
      <b/>
      <sz val="14"/>
      <name val="Arial"/>
    </font>
    <font>
      <b/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Alignment="1">
      <alignment horizontal="left" wrapText="1"/>
    </xf>
    <xf numFmtId="4" fontId="3" fillId="0" borderId="0" xfId="0" applyNumberFormat="1" applyFont="1" applyAlignment="1">
      <alignment wrapText="1"/>
    </xf>
    <xf numFmtId="0" fontId="3" fillId="0" borderId="0" xfId="0" applyFont="1" applyAlignment="1">
      <alignment horizontal="center"/>
    </xf>
    <xf numFmtId="0" fontId="0" fillId="0" borderId="0" xfId="0"/>
    <xf numFmtId="0" fontId="2" fillId="0" borderId="1" xfId="0" applyFont="1" applyBorder="1" applyAlignment="1">
      <alignment horizontal="left" wrapText="1"/>
    </xf>
    <xf numFmtId="4" fontId="3" fillId="0" borderId="1" xfId="0" applyNumberFormat="1" applyFont="1" applyBorder="1" applyAlignment="1">
      <alignment wrapText="1"/>
    </xf>
    <xf numFmtId="4" fontId="3" fillId="0" borderId="1" xfId="0" applyNumberFormat="1" applyFont="1" applyBorder="1" applyAlignment="1">
      <alignment horizontal="right" wrapText="1"/>
    </xf>
    <xf numFmtId="164" fontId="2" fillId="0" borderId="1" xfId="0" applyNumberFormat="1" applyFont="1" applyBorder="1" applyAlignment="1">
      <alignment horizontal="right" wrapText="1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4" fontId="3" fillId="2" borderId="1" xfId="0" applyNumberFormat="1" applyFont="1" applyFill="1" applyBorder="1" applyAlignment="1">
      <alignment wrapText="1"/>
    </xf>
    <xf numFmtId="10" fontId="3" fillId="2" borderId="1" xfId="0" applyNumberFormat="1" applyFont="1" applyFill="1" applyBorder="1" applyAlignment="1">
      <alignment horizontal="right" wrapText="1"/>
    </xf>
    <xf numFmtId="10" fontId="2" fillId="2" borderId="1" xfId="0" applyNumberFormat="1" applyFont="1" applyFill="1" applyBorder="1" applyAlignment="1">
      <alignment horizontal="right" wrapText="1"/>
    </xf>
    <xf numFmtId="0" fontId="4" fillId="3" borderId="0" xfId="0" applyFont="1" applyFill="1" applyAlignment="1">
      <alignment horizontal="center"/>
    </xf>
    <xf numFmtId="0" fontId="0" fillId="3" borderId="0" xfId="0" applyFill="1"/>
    <xf numFmtId="0" fontId="5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tabSelected="1" workbookViewId="0">
      <selection activeCell="G10" sqref="G10"/>
    </sheetView>
  </sheetViews>
  <sheetFormatPr baseColWidth="10" defaultColWidth="8.83203125" defaultRowHeight="12" x14ac:dyDescent="0"/>
  <cols>
    <col min="1" max="1" width="34" customWidth="1"/>
    <col min="2" max="4" width="23" customWidth="1"/>
  </cols>
  <sheetData>
    <row r="1" spans="1:5" ht="17">
      <c r="A1" s="17" t="s">
        <v>55</v>
      </c>
      <c r="B1" s="18"/>
      <c r="C1" s="18"/>
      <c r="D1" s="18"/>
      <c r="E1" s="18"/>
    </row>
    <row r="2" spans="1:5" ht="17">
      <c r="A2" s="17" t="s">
        <v>56</v>
      </c>
      <c r="B2" s="18"/>
      <c r="C2" s="18"/>
      <c r="D2" s="18"/>
      <c r="E2" s="18"/>
    </row>
    <row r="3" spans="1:5">
      <c r="A3" s="19" t="s">
        <v>57</v>
      </c>
      <c r="B3" s="18"/>
      <c r="C3" s="18"/>
      <c r="D3" s="18"/>
      <c r="E3" s="18"/>
    </row>
    <row r="5" spans="1:5" ht="12.75" customHeight="1">
      <c r="A5" s="9"/>
      <c r="B5" s="11" t="s">
        <v>0</v>
      </c>
      <c r="C5" s="12"/>
      <c r="D5" s="12"/>
      <c r="E5" s="12"/>
    </row>
    <row r="6" spans="1:5" ht="25.5" customHeight="1">
      <c r="A6" s="9"/>
      <c r="B6" s="10" t="s">
        <v>1</v>
      </c>
      <c r="C6" s="10" t="s">
        <v>2</v>
      </c>
      <c r="D6" s="10" t="s">
        <v>3</v>
      </c>
      <c r="E6" s="13" t="s">
        <v>4</v>
      </c>
    </row>
    <row r="7" spans="1:5" ht="12.75" customHeight="1">
      <c r="A7" s="5" t="s">
        <v>5</v>
      </c>
      <c r="B7" s="6"/>
      <c r="C7" s="6"/>
      <c r="D7" s="6"/>
      <c r="E7" s="14"/>
    </row>
    <row r="8" spans="1:5" ht="12.75" customHeight="1">
      <c r="A8" s="5" t="s">
        <v>6</v>
      </c>
      <c r="B8" s="7">
        <f>332906</f>
        <v>332906</v>
      </c>
      <c r="C8" s="7">
        <f>0</f>
        <v>0</v>
      </c>
      <c r="D8" s="7">
        <f t="shared" ref="D8:D13" si="0">(B8)-(C8)</f>
        <v>332906</v>
      </c>
      <c r="E8" s="15" t="str">
        <f t="shared" ref="E8:E13" si="1">IF(C8=0,"",(B8)/(C8))</f>
        <v/>
      </c>
    </row>
    <row r="9" spans="1:5" ht="12.75" customHeight="1">
      <c r="A9" s="5" t="s">
        <v>7</v>
      </c>
      <c r="B9" s="7" t="s">
        <v>8</v>
      </c>
      <c r="C9" s="7">
        <f>80953</f>
        <v>80953</v>
      </c>
      <c r="D9" s="7">
        <f t="shared" si="0"/>
        <v>-173219</v>
      </c>
      <c r="E9" s="15">
        <f t="shared" si="1"/>
        <v>-1.1397477548701098</v>
      </c>
    </row>
    <row r="10" spans="1:5" ht="12.75" customHeight="1">
      <c r="A10" s="5" t="s">
        <v>9</v>
      </c>
      <c r="B10" s="7" t="s">
        <v>10</v>
      </c>
      <c r="C10" s="7">
        <f>122727</f>
        <v>122727</v>
      </c>
      <c r="D10" s="7">
        <f t="shared" si="0"/>
        <v>-241367</v>
      </c>
      <c r="E10" s="15">
        <f t="shared" si="1"/>
        <v>-0.96669844451506193</v>
      </c>
    </row>
    <row r="11" spans="1:5" ht="12.75" customHeight="1">
      <c r="A11" s="5" t="s">
        <v>11</v>
      </c>
      <c r="B11" s="7">
        <f>7.02</f>
        <v>7.02</v>
      </c>
      <c r="C11" s="6"/>
      <c r="D11" s="7">
        <f t="shared" si="0"/>
        <v>7.02</v>
      </c>
      <c r="E11" s="15" t="str">
        <f t="shared" si="1"/>
        <v/>
      </c>
    </row>
    <row r="12" spans="1:5" ht="12.75" customHeight="1">
      <c r="A12" s="5" t="s">
        <v>12</v>
      </c>
      <c r="B12" s="7">
        <f>53010.04</f>
        <v>53010.04</v>
      </c>
      <c r="C12" s="7">
        <f>20000</f>
        <v>20000</v>
      </c>
      <c r="D12" s="7">
        <f t="shared" si="0"/>
        <v>33010.04</v>
      </c>
      <c r="E12" s="15">
        <f t="shared" si="1"/>
        <v>2.6505019999999999</v>
      </c>
    </row>
    <row r="13" spans="1:5" ht="12.75" customHeight="1">
      <c r="A13" s="5" t="s">
        <v>13</v>
      </c>
      <c r="B13" s="8">
        <f>((((B8)+(B9))+(B10))+(B11))+(B12)</f>
        <v>175017.06</v>
      </c>
      <c r="C13" s="8">
        <f>((((C8)+(C9))+(C10))+(C11))+(C12)</f>
        <v>223680</v>
      </c>
      <c r="D13" s="8">
        <f t="shared" si="0"/>
        <v>-48662.94</v>
      </c>
      <c r="E13" s="16">
        <f t="shared" si="1"/>
        <v>0.78244393776824028</v>
      </c>
    </row>
    <row r="14" spans="1:5" ht="12.75" customHeight="1">
      <c r="A14" s="5" t="s">
        <v>14</v>
      </c>
      <c r="B14" s="6"/>
      <c r="C14" s="6"/>
      <c r="D14" s="6"/>
      <c r="E14" s="14"/>
    </row>
    <row r="15" spans="1:5" ht="12.75" customHeight="1">
      <c r="A15" s="5" t="s">
        <v>15</v>
      </c>
      <c r="B15" s="7">
        <f>46027.09</f>
        <v>46027.09</v>
      </c>
      <c r="C15" s="7">
        <f>49010</f>
        <v>49010</v>
      </c>
      <c r="D15" s="7">
        <f t="shared" ref="D15:D47" si="2">(B15)-(C15)</f>
        <v>-2982.9100000000035</v>
      </c>
      <c r="E15" s="15">
        <f t="shared" ref="E15:E47" si="3">IF(C15=0,"",(B15)/(C15))</f>
        <v>0.93913670679453165</v>
      </c>
    </row>
    <row r="16" spans="1:5" ht="12.75" customHeight="1">
      <c r="A16" s="5" t="s">
        <v>16</v>
      </c>
      <c r="B16" s="7">
        <f>45500.04</f>
        <v>45500.04</v>
      </c>
      <c r="C16" s="7">
        <f>51090</f>
        <v>51090</v>
      </c>
      <c r="D16" s="7">
        <f t="shared" si="2"/>
        <v>-5589.9599999999991</v>
      </c>
      <c r="E16" s="15">
        <f t="shared" si="3"/>
        <v>0.89058602466236059</v>
      </c>
    </row>
    <row r="17" spans="1:5" ht="12.75" customHeight="1">
      <c r="A17" s="5" t="s">
        <v>17</v>
      </c>
      <c r="B17" s="7">
        <f>14725.02</f>
        <v>14725.02</v>
      </c>
      <c r="C17" s="7">
        <f>24650</f>
        <v>24650</v>
      </c>
      <c r="D17" s="7">
        <f t="shared" si="2"/>
        <v>-9924.98</v>
      </c>
      <c r="E17" s="15">
        <f t="shared" si="3"/>
        <v>0.59736389452332661</v>
      </c>
    </row>
    <row r="18" spans="1:5" ht="12.75" customHeight="1">
      <c r="A18" s="5" t="s">
        <v>18</v>
      </c>
      <c r="B18" s="7">
        <f>9001.28</f>
        <v>9001.2800000000007</v>
      </c>
      <c r="C18" s="7">
        <f>7315</f>
        <v>7315</v>
      </c>
      <c r="D18" s="7">
        <f t="shared" si="2"/>
        <v>1686.2800000000007</v>
      </c>
      <c r="E18" s="15">
        <f t="shared" si="3"/>
        <v>1.2305235816814766</v>
      </c>
    </row>
    <row r="19" spans="1:5" ht="12.75" customHeight="1">
      <c r="A19" s="5" t="s">
        <v>19</v>
      </c>
      <c r="B19" s="7">
        <f>7973.75</f>
        <v>7973.75</v>
      </c>
      <c r="C19" s="7">
        <f>3225</f>
        <v>3225</v>
      </c>
      <c r="D19" s="7">
        <f t="shared" si="2"/>
        <v>4748.75</v>
      </c>
      <c r="E19" s="15">
        <f t="shared" si="3"/>
        <v>2.4724806201550389</v>
      </c>
    </row>
    <row r="20" spans="1:5" ht="12.75" customHeight="1">
      <c r="A20" s="5" t="s">
        <v>20</v>
      </c>
      <c r="B20" s="7">
        <f>2775</f>
        <v>2775</v>
      </c>
      <c r="C20" s="7">
        <f>4500</f>
        <v>4500</v>
      </c>
      <c r="D20" s="7">
        <f t="shared" si="2"/>
        <v>-1725</v>
      </c>
      <c r="E20" s="15">
        <f t="shared" si="3"/>
        <v>0.6166666666666667</v>
      </c>
    </row>
    <row r="21" spans="1:5" ht="12.75" customHeight="1">
      <c r="A21" s="5" t="s">
        <v>21</v>
      </c>
      <c r="B21" s="8">
        <f>(B19)+(B20)</f>
        <v>10748.75</v>
      </c>
      <c r="C21" s="8">
        <f>(C19)+(C20)</f>
        <v>7725</v>
      </c>
      <c r="D21" s="8">
        <f t="shared" si="2"/>
        <v>3023.75</v>
      </c>
      <c r="E21" s="16">
        <f t="shared" si="3"/>
        <v>1.3914239482200648</v>
      </c>
    </row>
    <row r="22" spans="1:5" ht="12.75" customHeight="1">
      <c r="A22" s="5" t="s">
        <v>22</v>
      </c>
      <c r="B22" s="7">
        <f>1321.08</f>
        <v>1321.08</v>
      </c>
      <c r="C22" s="6"/>
      <c r="D22" s="7">
        <f t="shared" si="2"/>
        <v>1321.08</v>
      </c>
      <c r="E22" s="15" t="str">
        <f t="shared" si="3"/>
        <v/>
      </c>
    </row>
    <row r="23" spans="1:5" ht="12.75" customHeight="1">
      <c r="A23" s="5" t="s">
        <v>23</v>
      </c>
      <c r="B23" s="7">
        <f>6047.69</f>
        <v>6047.69</v>
      </c>
      <c r="C23" s="7">
        <f>5250</f>
        <v>5250</v>
      </c>
      <c r="D23" s="7">
        <f t="shared" si="2"/>
        <v>797.6899999999996</v>
      </c>
      <c r="E23" s="15">
        <f t="shared" si="3"/>
        <v>1.1519409523809523</v>
      </c>
    </row>
    <row r="24" spans="1:5" ht="12.75" customHeight="1">
      <c r="A24" s="5" t="s">
        <v>24</v>
      </c>
      <c r="B24" s="7">
        <f>17200</f>
        <v>17200</v>
      </c>
      <c r="C24" s="7">
        <f>17480</f>
        <v>17480</v>
      </c>
      <c r="D24" s="7">
        <f t="shared" si="2"/>
        <v>-280</v>
      </c>
      <c r="E24" s="15">
        <f t="shared" si="3"/>
        <v>0.98398169336384445</v>
      </c>
    </row>
    <row r="25" spans="1:5" ht="12.75" customHeight="1">
      <c r="A25" s="5" t="s">
        <v>25</v>
      </c>
      <c r="B25" s="7">
        <f>2023.73</f>
        <v>2023.73</v>
      </c>
      <c r="C25" s="7">
        <f>2520</f>
        <v>2520</v>
      </c>
      <c r="D25" s="7">
        <f t="shared" si="2"/>
        <v>-496.27</v>
      </c>
      <c r="E25" s="15">
        <f t="shared" si="3"/>
        <v>0.80306746031746035</v>
      </c>
    </row>
    <row r="26" spans="1:5" ht="12.75" customHeight="1">
      <c r="A26" s="5" t="s">
        <v>26</v>
      </c>
      <c r="B26" s="7">
        <f>1966.92</f>
        <v>1966.92</v>
      </c>
      <c r="C26" s="7">
        <f>1587</f>
        <v>1587</v>
      </c>
      <c r="D26" s="7">
        <f t="shared" si="2"/>
        <v>379.92000000000007</v>
      </c>
      <c r="E26" s="15">
        <f t="shared" si="3"/>
        <v>1.2393950850661626</v>
      </c>
    </row>
    <row r="27" spans="1:5" ht="12.75" customHeight="1">
      <c r="A27" s="5" t="s">
        <v>27</v>
      </c>
      <c r="B27" s="7">
        <f>2456.37</f>
        <v>2456.37</v>
      </c>
      <c r="C27" s="7">
        <f>2103</f>
        <v>2103</v>
      </c>
      <c r="D27" s="7">
        <f t="shared" si="2"/>
        <v>353.36999999999989</v>
      </c>
      <c r="E27" s="15">
        <f t="shared" si="3"/>
        <v>1.1680313837375178</v>
      </c>
    </row>
    <row r="28" spans="1:5" ht="12.75" customHeight="1">
      <c r="A28" s="5" t="s">
        <v>28</v>
      </c>
      <c r="B28" s="7">
        <f>1270.54</f>
        <v>1270.54</v>
      </c>
      <c r="C28" s="7">
        <f>2476</f>
        <v>2476</v>
      </c>
      <c r="D28" s="7">
        <f t="shared" si="2"/>
        <v>-1205.46</v>
      </c>
      <c r="E28" s="15">
        <f t="shared" si="3"/>
        <v>0.51314216478190633</v>
      </c>
    </row>
    <row r="29" spans="1:5" ht="12.75" customHeight="1">
      <c r="A29" s="5" t="s">
        <v>29</v>
      </c>
      <c r="B29" s="7">
        <f>34095.67</f>
        <v>34095.67</v>
      </c>
      <c r="C29" s="7">
        <f>20187</f>
        <v>20187</v>
      </c>
      <c r="D29" s="7">
        <f t="shared" si="2"/>
        <v>13908.669999999998</v>
      </c>
      <c r="E29" s="15">
        <f t="shared" si="3"/>
        <v>1.6889914301283002</v>
      </c>
    </row>
    <row r="30" spans="1:5" ht="12.75" customHeight="1">
      <c r="A30" s="5" t="s">
        <v>30</v>
      </c>
      <c r="B30" s="7">
        <f>2843.78</f>
        <v>2843.78</v>
      </c>
      <c r="C30" s="7">
        <f>306</f>
        <v>306</v>
      </c>
      <c r="D30" s="7">
        <f t="shared" si="2"/>
        <v>2537.7800000000002</v>
      </c>
      <c r="E30" s="15">
        <f t="shared" si="3"/>
        <v>9.2933986928104577</v>
      </c>
    </row>
    <row r="31" spans="1:5" ht="12.75" customHeight="1">
      <c r="A31" s="5" t="s">
        <v>31</v>
      </c>
      <c r="B31" s="7">
        <f>2854.91</f>
        <v>2854.91</v>
      </c>
      <c r="C31" s="7">
        <f>1343</f>
        <v>1343</v>
      </c>
      <c r="D31" s="7">
        <f t="shared" si="2"/>
        <v>1511.9099999999999</v>
      </c>
      <c r="E31" s="15">
        <f t="shared" si="3"/>
        <v>2.1257706626954578</v>
      </c>
    </row>
    <row r="32" spans="1:5" ht="12.75" customHeight="1">
      <c r="A32" s="5" t="s">
        <v>32</v>
      </c>
      <c r="B32" s="7">
        <f>125.46</f>
        <v>125.46</v>
      </c>
      <c r="C32" s="7">
        <f>17</f>
        <v>17</v>
      </c>
      <c r="D32" s="7">
        <f t="shared" si="2"/>
        <v>108.46</v>
      </c>
      <c r="E32" s="15">
        <f t="shared" si="3"/>
        <v>7.38</v>
      </c>
    </row>
    <row r="33" spans="1:5" ht="12.75" customHeight="1">
      <c r="A33" s="5" t="s">
        <v>33</v>
      </c>
      <c r="B33" s="7">
        <f>326.13</f>
        <v>326.13</v>
      </c>
      <c r="C33" s="7">
        <f>34</f>
        <v>34</v>
      </c>
      <c r="D33" s="7">
        <f t="shared" si="2"/>
        <v>292.13</v>
      </c>
      <c r="E33" s="15">
        <f t="shared" si="3"/>
        <v>9.5920588235294115</v>
      </c>
    </row>
    <row r="34" spans="1:5" ht="12.75" customHeight="1">
      <c r="A34" s="5" t="s">
        <v>34</v>
      </c>
      <c r="B34" s="7">
        <f>6461.57</f>
        <v>6461.57</v>
      </c>
      <c r="C34" s="7">
        <f>2500</f>
        <v>2500</v>
      </c>
      <c r="D34" s="7">
        <f t="shared" si="2"/>
        <v>3961.5699999999997</v>
      </c>
      <c r="E34" s="15">
        <f t="shared" si="3"/>
        <v>2.5846279999999999</v>
      </c>
    </row>
    <row r="35" spans="1:5" ht="12.75" customHeight="1">
      <c r="A35" s="5" t="s">
        <v>35</v>
      </c>
      <c r="B35" s="7">
        <f>266.76</f>
        <v>266.76</v>
      </c>
      <c r="C35" s="6"/>
      <c r="D35" s="7">
        <f t="shared" si="2"/>
        <v>266.76</v>
      </c>
      <c r="E35" s="15" t="str">
        <f t="shared" si="3"/>
        <v/>
      </c>
    </row>
    <row r="36" spans="1:5" ht="12.75" customHeight="1">
      <c r="A36" s="5" t="s">
        <v>36</v>
      </c>
      <c r="B36" s="7">
        <f>5986.56</f>
        <v>5986.56</v>
      </c>
      <c r="C36" s="7">
        <f>1816</f>
        <v>1816</v>
      </c>
      <c r="D36" s="7">
        <f t="shared" si="2"/>
        <v>4170.5600000000004</v>
      </c>
      <c r="E36" s="15">
        <f t="shared" si="3"/>
        <v>3.2965638766519825</v>
      </c>
    </row>
    <row r="37" spans="1:5" ht="12.75" customHeight="1">
      <c r="A37" s="5" t="s">
        <v>37</v>
      </c>
      <c r="B37" s="6"/>
      <c r="C37" s="7">
        <f>1427</f>
        <v>1427</v>
      </c>
      <c r="D37" s="7">
        <f t="shared" si="2"/>
        <v>-1427</v>
      </c>
      <c r="E37" s="15">
        <f t="shared" si="3"/>
        <v>0</v>
      </c>
    </row>
    <row r="38" spans="1:5" ht="12.75" customHeight="1">
      <c r="A38" s="5" t="s">
        <v>38</v>
      </c>
      <c r="B38" s="7">
        <f>2502.57</f>
        <v>2502.5700000000002</v>
      </c>
      <c r="C38" s="7">
        <f>1980</f>
        <v>1980</v>
      </c>
      <c r="D38" s="7">
        <f t="shared" si="2"/>
        <v>522.57000000000016</v>
      </c>
      <c r="E38" s="15">
        <f t="shared" si="3"/>
        <v>1.2639242424242425</v>
      </c>
    </row>
    <row r="39" spans="1:5" ht="12.75" customHeight="1">
      <c r="A39" s="5" t="s">
        <v>39</v>
      </c>
      <c r="B39" s="7">
        <f>3021.22</f>
        <v>3021.22</v>
      </c>
      <c r="C39" s="7">
        <f>1664</f>
        <v>1664</v>
      </c>
      <c r="D39" s="7">
        <f t="shared" si="2"/>
        <v>1357.2199999999998</v>
      </c>
      <c r="E39" s="15">
        <f t="shared" si="3"/>
        <v>1.8156370192307691</v>
      </c>
    </row>
    <row r="40" spans="1:5" ht="12.75" customHeight="1">
      <c r="A40" s="5" t="s">
        <v>40</v>
      </c>
      <c r="B40" s="7">
        <f>2269.71</f>
        <v>2269.71</v>
      </c>
      <c r="C40" s="7">
        <f>1200</f>
        <v>1200</v>
      </c>
      <c r="D40" s="7">
        <f t="shared" si="2"/>
        <v>1069.71</v>
      </c>
      <c r="E40" s="15">
        <f t="shared" si="3"/>
        <v>1.8914250000000001</v>
      </c>
    </row>
    <row r="41" spans="1:5" ht="12.75" customHeight="1">
      <c r="A41" s="5" t="s">
        <v>41</v>
      </c>
      <c r="B41" s="7">
        <f>1755</f>
        <v>1755</v>
      </c>
      <c r="C41" s="6"/>
      <c r="D41" s="7">
        <f t="shared" si="2"/>
        <v>1755</v>
      </c>
      <c r="E41" s="15" t="str">
        <f t="shared" si="3"/>
        <v/>
      </c>
    </row>
    <row r="42" spans="1:5" ht="12.75" customHeight="1">
      <c r="A42" s="5" t="s">
        <v>42</v>
      </c>
      <c r="B42" s="7">
        <f>1256.58</f>
        <v>1256.58</v>
      </c>
      <c r="C42" s="6"/>
      <c r="D42" s="7">
        <f t="shared" si="2"/>
        <v>1256.58</v>
      </c>
      <c r="E42" s="15" t="str">
        <f t="shared" si="3"/>
        <v/>
      </c>
    </row>
    <row r="43" spans="1:5" ht="12.75" customHeight="1">
      <c r="A43" s="5" t="s">
        <v>43</v>
      </c>
      <c r="B43" s="7">
        <f>255</f>
        <v>255</v>
      </c>
      <c r="C43" s="6"/>
      <c r="D43" s="7">
        <f t="shared" si="2"/>
        <v>255</v>
      </c>
      <c r="E43" s="15" t="str">
        <f t="shared" si="3"/>
        <v/>
      </c>
    </row>
    <row r="44" spans="1:5" ht="12.75" customHeight="1">
      <c r="A44" s="5" t="s">
        <v>44</v>
      </c>
      <c r="B44" s="7">
        <f>200.68</f>
        <v>200.68</v>
      </c>
      <c r="C44" s="6"/>
      <c r="D44" s="7">
        <f t="shared" si="2"/>
        <v>200.68</v>
      </c>
      <c r="E44" s="15" t="str">
        <f t="shared" si="3"/>
        <v/>
      </c>
    </row>
    <row r="45" spans="1:5" ht="12.75" customHeight="1">
      <c r="A45" s="5" t="s">
        <v>45</v>
      </c>
      <c r="B45" s="7">
        <f>84.12</f>
        <v>84.12</v>
      </c>
      <c r="C45" s="6"/>
      <c r="D45" s="7">
        <f t="shared" si="2"/>
        <v>84.12</v>
      </c>
      <c r="E45" s="15" t="str">
        <f t="shared" si="3"/>
        <v/>
      </c>
    </row>
    <row r="46" spans="1:5" ht="12.75" customHeight="1">
      <c r="A46" s="5" t="s">
        <v>46</v>
      </c>
      <c r="B46" s="8">
        <f>((((((((((((((((((((((((((((B15)+(B16))+(B17))+(B18))+(B21))+(B22))+(B23))+(B24))+(B25))+(B26))+(B27))+(B28))+(B29))+(B30))+(B31))+(B32))+(B33))+(B34))+(B35))+(B36))+(B37))+(B38))+(B39))+(B40))+(B41))+(B42))+(B43))+(B44))+(B45)</f>
        <v>222594.23000000004</v>
      </c>
      <c r="C46" s="8">
        <f>((((((((((((((((((((((((((((C15)+(C16))+(C17))+(C18))+(C21))+(C22))+(C23))+(C24))+(C25))+(C26))+(C27))+(C28))+(C29))+(C30))+(C31))+(C32))+(C33))+(C34))+(C35))+(C36))+(C37))+(C38))+(C39))+(C40))+(C41))+(C42))+(C43))+(C44))+(C45)</f>
        <v>203680</v>
      </c>
      <c r="D46" s="8">
        <f t="shared" si="2"/>
        <v>18914.23000000004</v>
      </c>
      <c r="E46" s="16">
        <f t="shared" si="3"/>
        <v>1.0928624803613514</v>
      </c>
    </row>
    <row r="47" spans="1:5" ht="12.75" customHeight="1">
      <c r="A47" s="5" t="s">
        <v>47</v>
      </c>
      <c r="B47" s="8">
        <f>(B13)-(B46)</f>
        <v>-47577.170000000042</v>
      </c>
      <c r="C47" s="8">
        <f>(C13)-(C46)</f>
        <v>20000</v>
      </c>
      <c r="D47" s="8">
        <f t="shared" si="2"/>
        <v>-67577.170000000042</v>
      </c>
      <c r="E47" s="16">
        <f t="shared" si="3"/>
        <v>-2.378858500000002</v>
      </c>
    </row>
    <row r="48" spans="1:5" ht="12.75" customHeight="1">
      <c r="A48" s="5" t="s">
        <v>48</v>
      </c>
      <c r="B48" s="6"/>
      <c r="C48" s="6"/>
      <c r="D48" s="6"/>
      <c r="E48" s="14"/>
    </row>
    <row r="49" spans="1:5" ht="12.75" customHeight="1">
      <c r="A49" s="5" t="s">
        <v>49</v>
      </c>
      <c r="B49" s="7">
        <f>0</f>
        <v>0</v>
      </c>
      <c r="C49" s="6"/>
      <c r="D49" s="7">
        <f>(B49)-(C49)</f>
        <v>0</v>
      </c>
      <c r="E49" s="15" t="str">
        <f>IF(C49=0,"",(B49)/(C49))</f>
        <v/>
      </c>
    </row>
    <row r="50" spans="1:5" ht="12.75" customHeight="1">
      <c r="A50" s="5" t="s">
        <v>50</v>
      </c>
      <c r="B50" s="7">
        <f>0</f>
        <v>0</v>
      </c>
      <c r="C50" s="6"/>
      <c r="D50" s="7">
        <f>(B50)-(C50)</f>
        <v>0</v>
      </c>
      <c r="E50" s="15" t="str">
        <f>IF(C50=0,"",(B50)/(C50))</f>
        <v/>
      </c>
    </row>
    <row r="51" spans="1:5" ht="12.75" customHeight="1">
      <c r="A51" s="5" t="s">
        <v>51</v>
      </c>
      <c r="B51" s="8">
        <f>(B49)+(B50)</f>
        <v>0</v>
      </c>
      <c r="C51" s="8">
        <f>(C49)+(C50)</f>
        <v>0</v>
      </c>
      <c r="D51" s="8">
        <f>(B51)-(C51)</f>
        <v>0</v>
      </c>
      <c r="E51" s="16" t="str">
        <f>IF(C51=0,"",(B51)/(C51))</f>
        <v/>
      </c>
    </row>
    <row r="52" spans="1:5" ht="12.75" customHeight="1">
      <c r="A52" s="5" t="s">
        <v>52</v>
      </c>
      <c r="B52" s="8">
        <f>(0)-(B51)</f>
        <v>0</v>
      </c>
      <c r="C52" s="8">
        <f>(0)-(C51)</f>
        <v>0</v>
      </c>
      <c r="D52" s="8">
        <f>(B52)-(C52)</f>
        <v>0</v>
      </c>
      <c r="E52" s="16" t="str">
        <f>IF(C52=0,"",(B52)/(C52))</f>
        <v/>
      </c>
    </row>
    <row r="53" spans="1:5" ht="12.75" customHeight="1">
      <c r="A53" s="5" t="s">
        <v>53</v>
      </c>
      <c r="B53" s="8">
        <f>(B47)+(B52)</f>
        <v>-47577.170000000042</v>
      </c>
      <c r="C53" s="8">
        <f>(C47)+(C52)</f>
        <v>20000</v>
      </c>
      <c r="D53" s="8">
        <f>(B53)-(C53)</f>
        <v>-67577.170000000042</v>
      </c>
      <c r="E53" s="16">
        <f>IF(C53=0,"",(B53)/(C53))</f>
        <v>-2.378858500000002</v>
      </c>
    </row>
    <row r="54" spans="1:5" ht="12.75" customHeight="1">
      <c r="A54" s="1"/>
      <c r="B54" s="2"/>
      <c r="C54" s="2"/>
      <c r="D54" s="2"/>
      <c r="E54" s="2"/>
    </row>
    <row r="55" spans="1:5" ht="12.75" customHeight="1"/>
    <row r="56" spans="1:5" ht="12.75" customHeight="1"/>
    <row r="57" spans="1:5" ht="12.75" customHeight="1">
      <c r="A57" s="3" t="s">
        <v>54</v>
      </c>
      <c r="B57" s="4"/>
      <c r="C57" s="4"/>
      <c r="D57" s="4"/>
      <c r="E57" s="4"/>
    </row>
  </sheetData>
  <mergeCells count="5">
    <mergeCell ref="B5:E5"/>
    <mergeCell ref="A57:E57"/>
    <mergeCell ref="A1:E1"/>
    <mergeCell ref="A2:E2"/>
    <mergeCell ref="A3:E3"/>
  </mergeCells>
  <pageMargins left="0.75" right="0.75" top="1" bottom="1" header="0.5" footer="0.5"/>
  <pageSetup orientation="portrait" horizontalDpi="300" verticalDpi="30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vs. Actuals  2010-2011 B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Kevin Aslanian</cp:lastModifiedBy>
  <dcterms:created xsi:type="dcterms:W3CDTF">2011-08-18T23:06:11Z</dcterms:created>
  <dcterms:modified xsi:type="dcterms:W3CDTF">2011-08-18T23:14:39Z</dcterms:modified>
</cp:coreProperties>
</file>